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legomac/Desktop/SAMWAC/"/>
    </mc:Choice>
  </mc:AlternateContent>
  <xr:revisionPtr revIDLastSave="0" documentId="13_ncr:1_{BF54DFBF-2994-7141-A9EA-90703CE9C1C5}" xr6:coauthVersionLast="47" xr6:coauthVersionMax="47" xr10:uidLastSave="{00000000-0000-0000-0000-000000000000}"/>
  <bookViews>
    <workbookView xWindow="0" yWindow="460" windowWidth="25600" windowHeight="15000" activeTab="1" xr2:uid="{A88AFDC7-5C73-0A43-B810-D1F63BAD38A3}"/>
  </bookViews>
  <sheets>
    <sheet name="Overall Reserves" sheetId="1" r:id="rId1"/>
    <sheet name="Water Main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I38" i="1"/>
  <c r="H48" i="1"/>
  <c r="C18" i="2" l="1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18" i="2" s="1"/>
  <c r="F30" i="1" s="1"/>
  <c r="B18" i="2"/>
  <c r="H32" i="1"/>
  <c r="I32" i="1" s="1"/>
  <c r="E32" i="1"/>
  <c r="G32" i="1" s="1"/>
  <c r="J32" i="1" s="1"/>
  <c r="K32" i="1" s="1"/>
  <c r="F28" i="1"/>
  <c r="H28" i="1" s="1"/>
  <c r="F26" i="1"/>
  <c r="H26" i="1" s="1"/>
  <c r="H24" i="1"/>
  <c r="H22" i="1"/>
  <c r="H20" i="1"/>
  <c r="H18" i="1"/>
  <c r="H16" i="1"/>
  <c r="H14" i="1"/>
  <c r="H13" i="1"/>
  <c r="H11" i="1"/>
  <c r="H10" i="1"/>
  <c r="H8" i="1"/>
  <c r="H7" i="1"/>
  <c r="B1" i="1"/>
  <c r="C1" i="1" s="1"/>
  <c r="F3" i="2" s="1"/>
  <c r="G3" i="2" s="1"/>
  <c r="J16" i="2" l="1"/>
  <c r="J11" i="2"/>
  <c r="J15" i="2"/>
  <c r="J3" i="2"/>
  <c r="J6" i="2"/>
  <c r="J10" i="2"/>
  <c r="J14" i="2"/>
  <c r="J7" i="2"/>
  <c r="H3" i="2"/>
  <c r="J4" i="2"/>
  <c r="J8" i="2"/>
  <c r="J12" i="2"/>
  <c r="J5" i="2"/>
  <c r="J13" i="2"/>
  <c r="J9" i="2"/>
  <c r="K3" i="2"/>
  <c r="F5" i="2"/>
  <c r="H5" i="2" s="1"/>
  <c r="F9" i="2"/>
  <c r="H9" i="2" s="1"/>
  <c r="F13" i="2"/>
  <c r="H13" i="2" s="1"/>
  <c r="F6" i="2"/>
  <c r="H6" i="2" s="1"/>
  <c r="F10" i="2"/>
  <c r="H10" i="2" s="1"/>
  <c r="F14" i="2"/>
  <c r="H14" i="2" s="1"/>
  <c r="F7" i="2"/>
  <c r="H7" i="2" s="1"/>
  <c r="F11" i="2"/>
  <c r="H11" i="2" s="1"/>
  <c r="F15" i="2"/>
  <c r="H15" i="2" s="1"/>
  <c r="F4" i="2"/>
  <c r="H4" i="2" s="1"/>
  <c r="F8" i="2"/>
  <c r="H8" i="2" s="1"/>
  <c r="F12" i="2"/>
  <c r="H12" i="2" s="1"/>
  <c r="F16" i="2"/>
  <c r="H16" i="2" s="1"/>
  <c r="F34" i="1"/>
  <c r="D28" i="1"/>
  <c r="D26" i="1"/>
  <c r="D24" i="1"/>
  <c r="D22" i="1"/>
  <c r="D20" i="1"/>
  <c r="D18" i="1"/>
  <c r="D16" i="1"/>
  <c r="D14" i="1"/>
  <c r="D13" i="1"/>
  <c r="D11" i="1"/>
  <c r="D10" i="1"/>
  <c r="D8" i="1"/>
  <c r="D7" i="1"/>
  <c r="E7" i="1" l="1"/>
  <c r="G7" i="1" s="1"/>
  <c r="J7" i="1" s="1"/>
  <c r="K7" i="1" s="1"/>
  <c r="E18" i="1"/>
  <c r="G18" i="1" s="1"/>
  <c r="J18" i="1" s="1"/>
  <c r="K18" i="1" s="1"/>
  <c r="E13" i="1"/>
  <c r="G13" i="1" s="1"/>
  <c r="J13" i="1" s="1"/>
  <c r="K13" i="1" s="1"/>
  <c r="E28" i="1"/>
  <c r="G28" i="1" s="1"/>
  <c r="J28" i="1" s="1"/>
  <c r="K28" i="1" s="1"/>
  <c r="E14" i="1"/>
  <c r="G14" i="1" s="1"/>
  <c r="J14" i="1" s="1"/>
  <c r="K14" i="1" s="1"/>
  <c r="E22" i="1"/>
  <c r="G22" i="1" s="1"/>
  <c r="J22" i="1" s="1"/>
  <c r="K22" i="1" s="1"/>
  <c r="E11" i="1"/>
  <c r="G11" i="1" s="1"/>
  <c r="J11" i="1" s="1"/>
  <c r="K11" i="1" s="1"/>
  <c r="E26" i="1"/>
  <c r="G26" i="1" s="1"/>
  <c r="J26" i="1" s="1"/>
  <c r="K26" i="1" s="1"/>
  <c r="E20" i="1"/>
  <c r="G20" i="1" s="1"/>
  <c r="J20" i="1" s="1"/>
  <c r="K20" i="1" s="1"/>
  <c r="E8" i="1"/>
  <c r="G8" i="1" s="1"/>
  <c r="J8" i="1" s="1"/>
  <c r="K8" i="1" s="1"/>
  <c r="E10" i="1"/>
  <c r="G10" i="1" s="1"/>
  <c r="J10" i="1" s="1"/>
  <c r="K10" i="1" s="1"/>
  <c r="E16" i="1"/>
  <c r="G16" i="1" s="1"/>
  <c r="J16" i="1" s="1"/>
  <c r="K16" i="1" s="1"/>
  <c r="E24" i="1"/>
  <c r="G24" i="1" s="1"/>
  <c r="J24" i="1" s="1"/>
  <c r="K24" i="1" s="1"/>
  <c r="B41" i="1"/>
  <c r="H41" i="1"/>
  <c r="J18" i="2"/>
  <c r="H30" i="1" s="1"/>
  <c r="H34" i="1" s="1"/>
  <c r="H45" i="1" s="1"/>
  <c r="H18" i="2"/>
  <c r="G8" i="2"/>
  <c r="K8" i="2"/>
  <c r="G7" i="2"/>
  <c r="K7" i="2"/>
  <c r="G13" i="2"/>
  <c r="K13" i="2"/>
  <c r="G4" i="2"/>
  <c r="K4" i="2"/>
  <c r="G14" i="2"/>
  <c r="K14" i="2"/>
  <c r="G9" i="2"/>
  <c r="K9" i="2"/>
  <c r="G16" i="2"/>
  <c r="K16" i="2"/>
  <c r="G15" i="2"/>
  <c r="K15" i="2"/>
  <c r="G10" i="2"/>
  <c r="K10" i="2"/>
  <c r="G5" i="2"/>
  <c r="K5" i="2"/>
  <c r="G12" i="2"/>
  <c r="K12" i="2"/>
  <c r="G11" i="2"/>
  <c r="K11" i="2"/>
  <c r="G6" i="2"/>
  <c r="K6" i="2"/>
  <c r="I28" i="1"/>
  <c r="I26" i="1"/>
  <c r="I24" i="1"/>
  <c r="I22" i="1"/>
  <c r="I20" i="1"/>
  <c r="I18" i="1"/>
  <c r="I16" i="1"/>
  <c r="I14" i="1"/>
  <c r="I13" i="1"/>
  <c r="I11" i="1"/>
  <c r="I10" i="1"/>
  <c r="I8" i="1"/>
  <c r="I7" i="1"/>
  <c r="B45" i="1" l="1"/>
  <c r="D45" i="1" s="1"/>
  <c r="I45" i="1"/>
  <c r="K45" i="1" s="1"/>
  <c r="H19" i="2"/>
  <c r="E30" i="1" s="1"/>
  <c r="G30" i="1" s="1"/>
  <c r="D30" i="1"/>
  <c r="K18" i="2"/>
  <c r="I30" i="1" s="1"/>
  <c r="I34" i="1" s="1"/>
  <c r="B37" i="1" s="1"/>
  <c r="G34" i="1" l="1"/>
  <c r="J30" i="1"/>
  <c r="B39" i="1"/>
  <c r="B43" i="1" s="1"/>
  <c r="D49" i="1" s="1"/>
  <c r="H49" i="1" s="1"/>
  <c r="I37" i="1"/>
  <c r="I39" i="1" s="1"/>
  <c r="I43" i="1" s="1"/>
  <c r="J34" i="1" l="1"/>
  <c r="K30" i="1"/>
  <c r="K34" i="1" s="1"/>
</calcChain>
</file>

<file path=xl/sharedStrings.xml><?xml version="1.0" encoding="utf-8"?>
<sst xmlns="http://schemas.openxmlformats.org/spreadsheetml/2006/main" count="99" uniqueCount="87">
  <si>
    <t>Asset Description</t>
  </si>
  <si>
    <t>Well #1</t>
  </si>
  <si>
    <t>Asset Life (years)</t>
  </si>
  <si>
    <t>Year Installed</t>
  </si>
  <si>
    <t>Todays Date</t>
  </si>
  <si>
    <t>Age (years)</t>
  </si>
  <si>
    <t>Remaining Life (years)</t>
  </si>
  <si>
    <t>Well #2</t>
  </si>
  <si>
    <t>Well #3</t>
  </si>
  <si>
    <t>Tank #1 (100,000 gallon)</t>
  </si>
  <si>
    <t>Tank #2 (100,000 gallon)</t>
  </si>
  <si>
    <t>Generator and Back-up Power</t>
  </si>
  <si>
    <t>Water Meters (150)</t>
  </si>
  <si>
    <t>Meter Xmit Radios (150)</t>
  </si>
  <si>
    <t>Reserve Totals</t>
  </si>
  <si>
    <t>Reserve $$$ Needed Today</t>
  </si>
  <si>
    <t xml:space="preserve">Total Reserves Needed Today = </t>
  </si>
  <si>
    <t>Reserve Deficit $$$ =</t>
  </si>
  <si>
    <t>Number of Customers</t>
  </si>
  <si>
    <t>Replacement Cost per Customer</t>
  </si>
  <si>
    <t>Reserve Deficit per Customer</t>
  </si>
  <si>
    <t>User Input</t>
  </si>
  <si>
    <t>Pump and Motor #1</t>
  </si>
  <si>
    <t>Pump and Pump Motor #2</t>
  </si>
  <si>
    <t>Pump and Pump Motor #3</t>
  </si>
  <si>
    <t>Equipment Shed (s)</t>
  </si>
  <si>
    <t>Well and Pump Control Systems</t>
  </si>
  <si>
    <t>Annual Amortization per Customer</t>
  </si>
  <si>
    <t>Water Main Section</t>
  </si>
  <si>
    <t>Length</t>
  </si>
  <si>
    <t>Type</t>
  </si>
  <si>
    <t>Install Year</t>
  </si>
  <si>
    <t>Diameter"</t>
  </si>
  <si>
    <t>C900</t>
  </si>
  <si>
    <t>PVC</t>
  </si>
  <si>
    <t>Transite</t>
  </si>
  <si>
    <t>Bluebell</t>
  </si>
  <si>
    <t>Total Linear Feet</t>
  </si>
  <si>
    <t>Age</t>
  </si>
  <si>
    <t>Rem Life</t>
  </si>
  <si>
    <t>Life of Pipe (Years)</t>
  </si>
  <si>
    <t>Replacement Cost per Ft</t>
  </si>
  <si>
    <t>Replace Cost</t>
  </si>
  <si>
    <t>Annual Depr</t>
  </si>
  <si>
    <t>Reqd Reserve</t>
  </si>
  <si>
    <t>Underground Water Main Pipe (23,600 LF )</t>
  </si>
  <si>
    <t>VARIOUS</t>
  </si>
  <si>
    <t>Wgt Age</t>
  </si>
  <si>
    <t>Wgt Avg Age</t>
  </si>
  <si>
    <t>Wgt Ave Rem Life</t>
  </si>
  <si>
    <t>(Connection Fee should be more than this)</t>
  </si>
  <si>
    <t>miles</t>
  </si>
  <si>
    <t xml:space="preserve">                Not Including Water Mains =</t>
  </si>
  <si>
    <t>Possible Tools to build reserves:</t>
  </si>
  <si>
    <t>One Time Assessment</t>
  </si>
  <si>
    <t>10-year Assessment</t>
  </si>
  <si>
    <t>Meter Fee Rate Hike</t>
  </si>
  <si>
    <t>$10/bill</t>
  </si>
  <si>
    <t>Water Rate Hike</t>
  </si>
  <si>
    <t>$1/K gal</t>
  </si>
  <si>
    <t xml:space="preserve">per customer raises </t>
  </si>
  <si>
    <t>per year per customer raises</t>
  </si>
  <si>
    <t>Replacement Cost $$$ (2021)</t>
  </si>
  <si>
    <t>Replacement Cost $$$ (Future)</t>
  </si>
  <si>
    <t>Cost Inflation Rate</t>
  </si>
  <si>
    <t>Amortized Cost/Year (Todays $$)</t>
  </si>
  <si>
    <t>Amortized Cost/Year (Future $$)</t>
  </si>
  <si>
    <t>Reserve $$$ Needed (Future)</t>
  </si>
  <si>
    <t>Tank Valves 6" x 50</t>
  </si>
  <si>
    <t>Section #1</t>
  </si>
  <si>
    <t>Section #2</t>
  </si>
  <si>
    <t>Section #3</t>
  </si>
  <si>
    <t>Section #4</t>
  </si>
  <si>
    <t>Section #5</t>
  </si>
  <si>
    <t>Section #6</t>
  </si>
  <si>
    <t>Section #7</t>
  </si>
  <si>
    <t>Section #8</t>
  </si>
  <si>
    <t>Section #9</t>
  </si>
  <si>
    <t>Section #10</t>
  </si>
  <si>
    <t>Section #11</t>
  </si>
  <si>
    <t>Section #12</t>
  </si>
  <si>
    <t>Section #13</t>
  </si>
  <si>
    <t>Section #14</t>
  </si>
  <si>
    <t>per month =</t>
  </si>
  <si>
    <t xml:space="preserve">Current $ Reserves in Bank Account = </t>
  </si>
  <si>
    <t>raises about: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</si>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</sst>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/>
    <xf numFmtId="164" fontId="2" fillId="0" borderId="0" xfId="1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2" applyNumberFormat="1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65" fontId="2" fillId="0" borderId="0" xfId="2" applyNumberFormat="1" applyFont="1" applyFill="1" applyAlignment="1">
      <alignment horizontal="center" wrapText="1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1" xfId="0" applyNumberFormat="1" applyFont="1" applyBorder="1" applyAlignment="1">
      <alignment horizontal="center" wrapText="1"/>
    </xf>
    <xf numFmtId="165" fontId="2" fillId="0" borderId="0" xfId="2" applyNumberFormat="1" applyFont="1"/>
    <xf numFmtId="4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14" fontId="2" fillId="0" borderId="0" xfId="0" applyNumberFormat="1" applyFont="1" applyFill="1"/>
    <xf numFmtId="164" fontId="5" fillId="2" borderId="3" xfId="1" applyNumberFormat="1" applyFont="1" applyFill="1" applyBorder="1"/>
    <xf numFmtId="165" fontId="5" fillId="2" borderId="3" xfId="2" applyNumberFormat="1" applyFont="1" applyFill="1" applyBorder="1"/>
    <xf numFmtId="0" fontId="5" fillId="2" borderId="5" xfId="0" applyFont="1" applyFill="1" applyBorder="1"/>
    <xf numFmtId="164" fontId="5" fillId="2" borderId="6" xfId="1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164" fontId="5" fillId="2" borderId="2" xfId="1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164" fontId="5" fillId="2" borderId="11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5" fontId="3" fillId="2" borderId="3" xfId="2" applyNumberFormat="1" applyFont="1" applyFill="1" applyBorder="1"/>
    <xf numFmtId="164" fontId="3" fillId="2" borderId="3" xfId="1" applyNumberFormat="1" applyFont="1" applyFill="1" applyBorder="1"/>
    <xf numFmtId="9" fontId="3" fillId="2" borderId="4" xfId="3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 wrapText="1"/>
    </xf>
    <xf numFmtId="0" fontId="3" fillId="2" borderId="13" xfId="0" applyFont="1" applyFill="1" applyBorder="1"/>
    <xf numFmtId="0" fontId="3" fillId="2" borderId="14" xfId="0" applyFont="1" applyFill="1" applyBorder="1" applyAlignment="1">
      <alignment horizontal="center" wrapText="1"/>
    </xf>
    <xf numFmtId="165" fontId="3" fillId="2" borderId="3" xfId="2" applyNumberFormat="1" applyFont="1" applyFill="1" applyBorder="1" applyAlignment="1">
      <alignment horizontal="center" wrapText="1"/>
    </xf>
    <xf numFmtId="165" fontId="3" fillId="2" borderId="4" xfId="2" applyNumberFormat="1" applyFont="1" applyFill="1" applyBorder="1" applyAlignment="1">
      <alignment horizontal="center" wrapText="1"/>
    </xf>
    <xf numFmtId="0" fontId="3" fillId="2" borderId="3" xfId="0" applyFont="1" applyFill="1" applyBorder="1"/>
    <xf numFmtId="0" fontId="3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4B67-73D1-704A-BEC4-22D03CFEA021}">
  <sheetPr>
    <pageSetUpPr fitToPage="1"/>
  </sheetPr>
  <dimension ref="A1:K51"/>
  <sheetViews>
    <sheetView zoomScale="125" workbookViewId="0">
      <selection activeCell="E32" sqref="E32"/>
    </sheetView>
  </sheetViews>
  <sheetFormatPr baseColWidth="10" defaultRowHeight="19" x14ac:dyDescent="0.25"/>
  <cols>
    <col min="1" max="1" width="40.83203125" style="9" customWidth="1"/>
    <col min="2" max="2" width="13.83203125" style="9" customWidth="1"/>
    <col min="3" max="3" width="13.6640625" style="10" customWidth="1"/>
    <col min="4" max="4" width="9" style="10" customWidth="1"/>
    <col min="5" max="5" width="10.1640625" style="10" customWidth="1"/>
    <col min="6" max="7" width="15.83203125" style="10" customWidth="1"/>
    <col min="8" max="9" width="13.1640625" style="10" customWidth="1"/>
    <col min="10" max="10" width="13.5" style="10" customWidth="1"/>
    <col min="11" max="11" width="14" style="9" customWidth="1"/>
    <col min="12" max="16384" width="10.83203125" style="9"/>
  </cols>
  <sheetData>
    <row r="1" spans="1:11" ht="41" thickBot="1" x14ac:dyDescent="0.3">
      <c r="A1" s="9" t="s">
        <v>4</v>
      </c>
      <c r="B1" s="26">
        <f ca="1">TODAY()</f>
        <v>44451</v>
      </c>
      <c r="C1" s="10">
        <f ca="1">YEAR(B1)</f>
        <v>2021</v>
      </c>
      <c r="E1" s="44" t="s">
        <v>21</v>
      </c>
    </row>
    <row r="2" spans="1:11" ht="20" thickBot="1" x14ac:dyDescent="0.3">
      <c r="A2" s="9" t="s">
        <v>18</v>
      </c>
      <c r="B2" s="42">
        <v>140</v>
      </c>
    </row>
    <row r="3" spans="1:11" ht="20" thickBot="1" x14ac:dyDescent="0.3">
      <c r="A3" s="9" t="s">
        <v>64</v>
      </c>
      <c r="B3" s="43">
        <v>0.02</v>
      </c>
    </row>
    <row r="5" spans="1:11" ht="62" customHeight="1" x14ac:dyDescent="0.25">
      <c r="A5" s="11" t="s">
        <v>0</v>
      </c>
      <c r="B5" s="25" t="s">
        <v>2</v>
      </c>
      <c r="C5" s="25" t="s">
        <v>3</v>
      </c>
      <c r="D5" s="25" t="s">
        <v>5</v>
      </c>
      <c r="E5" s="25" t="s">
        <v>6</v>
      </c>
      <c r="F5" s="25" t="s">
        <v>62</v>
      </c>
      <c r="G5" s="25" t="s">
        <v>63</v>
      </c>
      <c r="H5" s="25" t="s">
        <v>65</v>
      </c>
      <c r="I5" s="25" t="s">
        <v>15</v>
      </c>
      <c r="J5" s="25" t="s">
        <v>66</v>
      </c>
      <c r="K5" s="25" t="s">
        <v>67</v>
      </c>
    </row>
    <row r="6" spans="1:11" ht="20" thickBot="1" x14ac:dyDescent="0.3"/>
    <row r="7" spans="1:11" ht="20" thickBot="1" x14ac:dyDescent="0.3">
      <c r="A7" s="9" t="s">
        <v>1</v>
      </c>
      <c r="B7" s="45">
        <v>40</v>
      </c>
      <c r="C7" s="46">
        <v>2002</v>
      </c>
      <c r="D7" s="12">
        <f ca="1">YEAR($B$1)-C7</f>
        <v>19</v>
      </c>
      <c r="E7" s="13">
        <f ca="1">MAX(0,B7-D7)</f>
        <v>21</v>
      </c>
      <c r="F7" s="49">
        <v>100000</v>
      </c>
      <c r="G7" s="17">
        <f ca="1">F7*(POWER((1+$B$3),E7))</f>
        <v>151566.63438979213</v>
      </c>
      <c r="H7" s="14">
        <f>F7/B7</f>
        <v>2500</v>
      </c>
      <c r="I7" s="15">
        <f ca="1">H7*MIN(B7,D7)</f>
        <v>47500</v>
      </c>
      <c r="J7" s="14">
        <f ca="1">G7/B7</f>
        <v>3789.1658597448031</v>
      </c>
      <c r="K7" s="15">
        <f ca="1">J7*MIN(B7,D7)</f>
        <v>71994.151335151255</v>
      </c>
    </row>
    <row r="8" spans="1:11" ht="20" thickBot="1" x14ac:dyDescent="0.3">
      <c r="A8" s="9" t="s">
        <v>22</v>
      </c>
      <c r="B8" s="47">
        <v>20</v>
      </c>
      <c r="C8" s="48">
        <v>2021</v>
      </c>
      <c r="D8" s="12">
        <f t="shared" ref="D8" ca="1" si="0">YEAR($B$1)-C8</f>
        <v>0</v>
      </c>
      <c r="E8" s="13">
        <f t="shared" ref="E8:E28" ca="1" si="1">MAX(0,B8-D8)</f>
        <v>20</v>
      </c>
      <c r="F8" s="50">
        <v>25000</v>
      </c>
      <c r="G8" s="17">
        <f ca="1">F8*(POWER((1+$B$3),E8))</f>
        <v>37148.684899458858</v>
      </c>
      <c r="H8" s="14">
        <f t="shared" ref="H8" si="2">F8/B8</f>
        <v>1250</v>
      </c>
      <c r="I8" s="15">
        <f t="shared" ref="I8" ca="1" si="3">H8*MIN(B8,D8)</f>
        <v>0</v>
      </c>
      <c r="J8" s="14">
        <f ca="1">G8/B8</f>
        <v>1857.4342449729429</v>
      </c>
      <c r="K8" s="15">
        <f ca="1">J8*MIN(B8,D8)</f>
        <v>0</v>
      </c>
    </row>
    <row r="9" spans="1:11" ht="20" thickBot="1" x14ac:dyDescent="0.3">
      <c r="E9" s="13"/>
      <c r="G9" s="16"/>
    </row>
    <row r="10" spans="1:11" ht="20" thickBot="1" x14ac:dyDescent="0.3">
      <c r="A10" s="9" t="s">
        <v>7</v>
      </c>
      <c r="B10" s="45">
        <v>40</v>
      </c>
      <c r="C10" s="46">
        <v>1986</v>
      </c>
      <c r="D10" s="12">
        <f ca="1">YEAR($B$1)-C10</f>
        <v>35</v>
      </c>
      <c r="E10" s="13">
        <f t="shared" ca="1" si="1"/>
        <v>5</v>
      </c>
      <c r="F10" s="49">
        <v>100000</v>
      </c>
      <c r="G10" s="17">
        <f t="shared" ref="G10:G11" ca="1" si="4">F10*(POWER((1+$B$3),E10))</f>
        <v>110408.08032000001</v>
      </c>
      <c r="H10" s="14">
        <f t="shared" ref="H10:H11" si="5">F10/B10</f>
        <v>2500</v>
      </c>
      <c r="I10" s="15">
        <f t="shared" ref="I10:I11" ca="1" si="6">H10*MIN(B10,D10)</f>
        <v>87500</v>
      </c>
      <c r="J10" s="14">
        <f t="shared" ref="J10:J11" ca="1" si="7">G10/B10</f>
        <v>2760.2020080000002</v>
      </c>
      <c r="K10" s="15">
        <f t="shared" ref="K10:K11" ca="1" si="8">J10*MIN(B10,D10)</f>
        <v>96607.070280000014</v>
      </c>
    </row>
    <row r="11" spans="1:11" ht="20" thickBot="1" x14ac:dyDescent="0.3">
      <c r="A11" s="9" t="s">
        <v>23</v>
      </c>
      <c r="B11" s="47">
        <v>20</v>
      </c>
      <c r="C11" s="48">
        <v>2008</v>
      </c>
      <c r="D11" s="12">
        <f t="shared" ref="D11" ca="1" si="9">YEAR($B$1)-C11</f>
        <v>13</v>
      </c>
      <c r="E11" s="13">
        <f t="shared" ca="1" si="1"/>
        <v>7</v>
      </c>
      <c r="F11" s="50">
        <v>25000</v>
      </c>
      <c r="G11" s="17">
        <f t="shared" ca="1" si="4"/>
        <v>28717.141691231995</v>
      </c>
      <c r="H11" s="14">
        <f t="shared" si="5"/>
        <v>1250</v>
      </c>
      <c r="I11" s="15">
        <f t="shared" ca="1" si="6"/>
        <v>16250</v>
      </c>
      <c r="J11" s="14">
        <f t="shared" ca="1" si="7"/>
        <v>1435.8570845615998</v>
      </c>
      <c r="K11" s="15">
        <f t="shared" ca="1" si="8"/>
        <v>18666.142099300796</v>
      </c>
    </row>
    <row r="12" spans="1:11" ht="20" thickBot="1" x14ac:dyDescent="0.3">
      <c r="E12" s="13"/>
      <c r="G12" s="16"/>
    </row>
    <row r="13" spans="1:11" ht="20" thickBot="1" x14ac:dyDescent="0.3">
      <c r="A13" s="9" t="s">
        <v>8</v>
      </c>
      <c r="B13" s="45">
        <v>40</v>
      </c>
      <c r="C13" s="46">
        <v>2003</v>
      </c>
      <c r="D13" s="12">
        <f ca="1">YEAR($B$1)-C13</f>
        <v>18</v>
      </c>
      <c r="E13" s="13">
        <f t="shared" ca="1" si="1"/>
        <v>22</v>
      </c>
      <c r="F13" s="49">
        <v>100000</v>
      </c>
      <c r="G13" s="17">
        <f t="shared" ref="G13:G14" ca="1" si="10">F13*(POWER((1+$B$3),E13))</f>
        <v>154597.96707758796</v>
      </c>
      <c r="H13" s="14">
        <f t="shared" ref="H13:H14" si="11">F13/B13</f>
        <v>2500</v>
      </c>
      <c r="I13" s="15">
        <f t="shared" ref="I13:I14" ca="1" si="12">H13*MIN(B13,D13)</f>
        <v>45000</v>
      </c>
      <c r="J13" s="14">
        <f t="shared" ref="J13:J14" ca="1" si="13">G13/B13</f>
        <v>3864.9491769396991</v>
      </c>
      <c r="K13" s="15">
        <f t="shared" ref="K13:K14" ca="1" si="14">J13*MIN(B13,D13)</f>
        <v>69569.085184914584</v>
      </c>
    </row>
    <row r="14" spans="1:11" ht="20" thickBot="1" x14ac:dyDescent="0.3">
      <c r="A14" s="9" t="s">
        <v>24</v>
      </c>
      <c r="B14" s="47">
        <v>20</v>
      </c>
      <c r="C14" s="48">
        <v>2003</v>
      </c>
      <c r="D14" s="12">
        <f t="shared" ref="D14" ca="1" si="15">YEAR($B$1)-C14</f>
        <v>18</v>
      </c>
      <c r="E14" s="13">
        <f t="shared" ca="1" si="1"/>
        <v>2</v>
      </c>
      <c r="F14" s="50">
        <v>25000</v>
      </c>
      <c r="G14" s="17">
        <f t="shared" ca="1" si="10"/>
        <v>26010</v>
      </c>
      <c r="H14" s="14">
        <f t="shared" si="11"/>
        <v>1250</v>
      </c>
      <c r="I14" s="15">
        <f t="shared" ca="1" si="12"/>
        <v>22500</v>
      </c>
      <c r="J14" s="14">
        <f t="shared" ca="1" si="13"/>
        <v>1300.5</v>
      </c>
      <c r="K14" s="15">
        <f t="shared" ca="1" si="14"/>
        <v>23409</v>
      </c>
    </row>
    <row r="15" spans="1:11" ht="20" thickBot="1" x14ac:dyDescent="0.3">
      <c r="E15" s="13"/>
      <c r="G15" s="16"/>
    </row>
    <row r="16" spans="1:11" ht="20" thickBot="1" x14ac:dyDescent="0.3">
      <c r="A16" s="9" t="s">
        <v>9</v>
      </c>
      <c r="B16" s="51">
        <v>50</v>
      </c>
      <c r="C16" s="46">
        <v>2007</v>
      </c>
      <c r="D16" s="12">
        <f ca="1">YEAR($B$1)-C16</f>
        <v>14</v>
      </c>
      <c r="E16" s="13">
        <f t="shared" ca="1" si="1"/>
        <v>36</v>
      </c>
      <c r="F16" s="49">
        <v>250000</v>
      </c>
      <c r="G16" s="17">
        <f ca="1">F16*(POWER((1+$B$3),E16))</f>
        <v>509971.8359289259</v>
      </c>
      <c r="H16" s="14">
        <f>F16/B16</f>
        <v>5000</v>
      </c>
      <c r="I16" s="15">
        <f ca="1">H16*MIN(B16,D16)</f>
        <v>70000</v>
      </c>
      <c r="J16" s="14">
        <f ca="1">G16/B16</f>
        <v>10199.436718578518</v>
      </c>
      <c r="K16" s="15">
        <f ca="1">J16*MIN(B16,D16)</f>
        <v>142792.11406009924</v>
      </c>
    </row>
    <row r="17" spans="1:11" ht="20" thickBot="1" x14ac:dyDescent="0.3">
      <c r="E17" s="13"/>
      <c r="G17" s="16"/>
    </row>
    <row r="18" spans="1:11" ht="20" thickBot="1" x14ac:dyDescent="0.3">
      <c r="A18" s="9" t="s">
        <v>10</v>
      </c>
      <c r="B18" s="51">
        <v>50</v>
      </c>
      <c r="C18" s="44">
        <v>2006</v>
      </c>
      <c r="D18" s="12">
        <f ca="1">YEAR($B$1)-C18</f>
        <v>15</v>
      </c>
      <c r="E18" s="13">
        <f t="shared" ca="1" si="1"/>
        <v>35</v>
      </c>
      <c r="F18" s="49">
        <v>250000</v>
      </c>
      <c r="G18" s="17">
        <f ca="1">F18*(POWER((1+$B$3),E18))</f>
        <v>499972.38816561369</v>
      </c>
      <c r="H18" s="14">
        <f>F18/B18</f>
        <v>5000</v>
      </c>
      <c r="I18" s="15">
        <f ca="1">H18*MIN(B18,D18)</f>
        <v>75000</v>
      </c>
      <c r="J18" s="14">
        <f ca="1">G18/B18</f>
        <v>9999.4477633122733</v>
      </c>
      <c r="K18" s="15">
        <f ca="1">J18*MIN(B18,D18)</f>
        <v>149991.71644968411</v>
      </c>
    </row>
    <row r="19" spans="1:11" ht="20" thickBot="1" x14ac:dyDescent="0.3">
      <c r="E19" s="13"/>
      <c r="G19" s="16"/>
    </row>
    <row r="20" spans="1:11" ht="20" thickBot="1" x14ac:dyDescent="0.3">
      <c r="A20" s="9" t="s">
        <v>68</v>
      </c>
      <c r="B20" s="51">
        <v>50</v>
      </c>
      <c r="C20" s="44">
        <v>1990</v>
      </c>
      <c r="D20" s="12">
        <f ca="1">YEAR($B$1)-C20</f>
        <v>31</v>
      </c>
      <c r="E20" s="13">
        <f t="shared" ca="1" si="1"/>
        <v>19</v>
      </c>
      <c r="F20" s="49">
        <v>100000</v>
      </c>
      <c r="G20" s="17">
        <f ca="1">F20*(POWER((1+$B$3),E20))</f>
        <v>145681.1172527798</v>
      </c>
      <c r="H20" s="14">
        <f t="shared" ref="H20" si="16">F20/B20</f>
        <v>2000</v>
      </c>
      <c r="I20" s="15">
        <f t="shared" ref="I20" ca="1" si="17">H20*MIN(B20,D20)</f>
        <v>62000</v>
      </c>
      <c r="J20" s="14">
        <f ca="1">G20/B20</f>
        <v>2913.6223450555963</v>
      </c>
      <c r="K20" s="15">
        <f ca="1">J20*MIN(B20,D20)</f>
        <v>90322.292696723482</v>
      </c>
    </row>
    <row r="21" spans="1:11" ht="20" thickBot="1" x14ac:dyDescent="0.3">
      <c r="E21" s="13"/>
      <c r="G21" s="16"/>
    </row>
    <row r="22" spans="1:11" ht="20" thickBot="1" x14ac:dyDescent="0.3">
      <c r="A22" s="9" t="s">
        <v>26</v>
      </c>
      <c r="B22" s="51">
        <v>20</v>
      </c>
      <c r="C22" s="44">
        <v>2010</v>
      </c>
      <c r="D22" s="12">
        <f t="shared" ref="D22:D28" ca="1" si="18">YEAR($B$1)-C22</f>
        <v>11</v>
      </c>
      <c r="E22" s="13">
        <f t="shared" ca="1" si="1"/>
        <v>9</v>
      </c>
      <c r="F22" s="49">
        <v>25000</v>
      </c>
      <c r="G22" s="17">
        <f ca="1">F22*(POWER((1+$B$3),E22))</f>
        <v>29877.31421555777</v>
      </c>
      <c r="H22" s="14">
        <f>F22/B22</f>
        <v>1250</v>
      </c>
      <c r="I22" s="15">
        <f ca="1">H22*MIN(B22,D22)</f>
        <v>13750</v>
      </c>
      <c r="J22" s="14">
        <f ca="1">G22/B22</f>
        <v>1493.8657107778886</v>
      </c>
      <c r="K22" s="15">
        <f ca="1">J22*MIN(B22,D22)</f>
        <v>16432.522818556776</v>
      </c>
    </row>
    <row r="23" spans="1:11" ht="20" thickBot="1" x14ac:dyDescent="0.3">
      <c r="E23" s="13"/>
      <c r="G23" s="16"/>
    </row>
    <row r="24" spans="1:11" ht="20" thickBot="1" x14ac:dyDescent="0.3">
      <c r="A24" s="9" t="s">
        <v>11</v>
      </c>
      <c r="B24" s="51">
        <v>20</v>
      </c>
      <c r="C24" s="44">
        <v>2010</v>
      </c>
      <c r="D24" s="12">
        <f t="shared" ca="1" si="18"/>
        <v>11</v>
      </c>
      <c r="E24" s="13">
        <f t="shared" ca="1" si="1"/>
        <v>9</v>
      </c>
      <c r="F24" s="49">
        <v>60000</v>
      </c>
      <c r="G24" s="17">
        <f ca="1">F24*(POWER((1+$B$3),E24))</f>
        <v>71705.554117338645</v>
      </c>
      <c r="H24" s="14">
        <f>F24/B24</f>
        <v>3000</v>
      </c>
      <c r="I24" s="15">
        <f ca="1">H24*MIN(B24,D24)</f>
        <v>33000</v>
      </c>
      <c r="J24" s="14">
        <f ca="1">G24/B24</f>
        <v>3585.2777058669321</v>
      </c>
      <c r="K24" s="15">
        <f ca="1">J24*MIN(B24,D24)</f>
        <v>39438.054764536253</v>
      </c>
    </row>
    <row r="25" spans="1:11" ht="20" thickBot="1" x14ac:dyDescent="0.3">
      <c r="E25" s="13"/>
      <c r="G25" s="16"/>
    </row>
    <row r="26" spans="1:11" ht="20" thickBot="1" x14ac:dyDescent="0.3">
      <c r="A26" s="9" t="s">
        <v>12</v>
      </c>
      <c r="B26" s="51">
        <v>25</v>
      </c>
      <c r="C26" s="44">
        <v>2010</v>
      </c>
      <c r="D26" s="12">
        <f t="shared" ca="1" si="18"/>
        <v>11</v>
      </c>
      <c r="E26" s="13">
        <f t="shared" ca="1" si="1"/>
        <v>14</v>
      </c>
      <c r="F26" s="49">
        <f>250*150</f>
        <v>37500</v>
      </c>
      <c r="G26" s="17">
        <f ca="1">F26*(POWER((1+$B$3),E26))</f>
        <v>49480.453614857703</v>
      </c>
      <c r="H26" s="14">
        <f>F26/B26</f>
        <v>1500</v>
      </c>
      <c r="I26" s="15">
        <f ca="1">H26*MIN(B26,D26)</f>
        <v>16500</v>
      </c>
      <c r="J26" s="14">
        <f ca="1">G26/B26</f>
        <v>1979.2181445943081</v>
      </c>
      <c r="K26" s="15">
        <f ca="1">J26*MIN(B26,D26)</f>
        <v>21771.399590537389</v>
      </c>
    </row>
    <row r="27" spans="1:11" ht="20" thickBot="1" x14ac:dyDescent="0.3">
      <c r="E27" s="13"/>
      <c r="G27" s="16"/>
    </row>
    <row r="28" spans="1:11" ht="20" thickBot="1" x14ac:dyDescent="0.3">
      <c r="A28" s="9" t="s">
        <v>13</v>
      </c>
      <c r="B28" s="51">
        <v>10</v>
      </c>
      <c r="C28" s="44">
        <v>2015</v>
      </c>
      <c r="D28" s="12">
        <f t="shared" ca="1" si="18"/>
        <v>6</v>
      </c>
      <c r="E28" s="13">
        <f t="shared" ca="1" si="1"/>
        <v>4</v>
      </c>
      <c r="F28" s="49">
        <f>150*100</f>
        <v>15000</v>
      </c>
      <c r="G28" s="17">
        <f ca="1">F28*(POWER((1+$B$3),E28))</f>
        <v>16236.482399999999</v>
      </c>
      <c r="H28" s="14">
        <f>F28/B28</f>
        <v>1500</v>
      </c>
      <c r="I28" s="15">
        <f ca="1">H28*MIN(B28,D28)</f>
        <v>9000</v>
      </c>
      <c r="J28" s="14">
        <f ca="1">G28/B28</f>
        <v>1623.64824</v>
      </c>
      <c r="K28" s="15">
        <f ca="1">J28*MIN(B28,D28)</f>
        <v>9741.889439999999</v>
      </c>
    </row>
    <row r="29" spans="1:11" ht="20" thickBot="1" x14ac:dyDescent="0.3">
      <c r="E29" s="13"/>
      <c r="G29" s="16"/>
    </row>
    <row r="30" spans="1:11" ht="21" thickBot="1" x14ac:dyDescent="0.3">
      <c r="A30" s="9" t="s">
        <v>45</v>
      </c>
      <c r="B30" s="51">
        <v>70</v>
      </c>
      <c r="C30" s="52" t="s">
        <v>46</v>
      </c>
      <c r="D30" s="12">
        <f ca="1">'Water Main Analysis'!H18</f>
        <v>23.021186440677965</v>
      </c>
      <c r="E30" s="13">
        <f ca="1">'Water Main Analysis'!H19</f>
        <v>46.978813559322035</v>
      </c>
      <c r="F30" s="49">
        <f>'Water Main Analysis'!I18</f>
        <v>4720000</v>
      </c>
      <c r="G30" s="17">
        <f ca="1">F30*(POWER((1+$B$3),E30))</f>
        <v>11966519.818657294</v>
      </c>
      <c r="H30" s="14">
        <f>'Water Main Analysis'!J18</f>
        <v>67428.571428571435</v>
      </c>
      <c r="I30" s="15">
        <f ca="1">'Water Main Analysis'!K18</f>
        <v>1552285.7142857146</v>
      </c>
      <c r="J30" s="14">
        <f ca="1">G30/B30</f>
        <v>170950.28312367562</v>
      </c>
      <c r="K30" s="15">
        <f ca="1">J30*MIN(B30,D30)</f>
        <v>3935478.3398768203</v>
      </c>
    </row>
    <row r="31" spans="1:11" ht="20" thickBot="1" x14ac:dyDescent="0.3">
      <c r="E31" s="13"/>
      <c r="F31" s="53"/>
      <c r="G31" s="17"/>
      <c r="H31" s="14"/>
      <c r="I31" s="15"/>
    </row>
    <row r="32" spans="1:11" ht="20" thickBot="1" x14ac:dyDescent="0.3">
      <c r="A32" s="9" t="s">
        <v>25</v>
      </c>
      <c r="B32" s="51">
        <v>50</v>
      </c>
      <c r="C32" s="44">
        <v>1990</v>
      </c>
      <c r="D32" s="12">
        <v>25</v>
      </c>
      <c r="E32" s="13">
        <f t="shared" ref="E32" si="19">MAX(0,B32-D32)</f>
        <v>25</v>
      </c>
      <c r="F32" s="50">
        <v>10000</v>
      </c>
      <c r="G32" s="17">
        <f>F32*(POWER((1+$B$3),E32))</f>
        <v>16406.059944647295</v>
      </c>
      <c r="H32" s="14">
        <f>F32/B32</f>
        <v>200</v>
      </c>
      <c r="I32" s="15">
        <f>H32*MIN(B32,D32)</f>
        <v>5000</v>
      </c>
      <c r="J32" s="14">
        <f>G32/B32</f>
        <v>328.12119889294593</v>
      </c>
      <c r="K32" s="15">
        <f>J32*MIN(B32,D32)</f>
        <v>8203.0299723236476</v>
      </c>
    </row>
    <row r="33" spans="1:11" x14ac:dyDescent="0.25">
      <c r="E33" s="13"/>
    </row>
    <row r="34" spans="1:11" x14ac:dyDescent="0.25">
      <c r="A34" s="9" t="s">
        <v>14</v>
      </c>
      <c r="F34" s="14">
        <f t="shared" ref="F34:K34" si="20">SUM(F7:F33)</f>
        <v>5842500</v>
      </c>
      <c r="G34" s="14">
        <f t="shared" ca="1" si="20"/>
        <v>13814299.532675086</v>
      </c>
      <c r="H34" s="14">
        <f t="shared" si="20"/>
        <v>98128.571428571435</v>
      </c>
      <c r="I34" s="14">
        <f t="shared" ca="1" si="20"/>
        <v>2055285.7142857146</v>
      </c>
      <c r="J34" s="14">
        <f t="shared" ca="1" si="20"/>
        <v>218081.02932497312</v>
      </c>
      <c r="K34" s="14">
        <f t="shared" ca="1" si="20"/>
        <v>4694416.8085686471</v>
      </c>
    </row>
    <row r="37" spans="1:11" ht="20" thickBot="1" x14ac:dyDescent="0.3">
      <c r="A37" s="9" t="s">
        <v>16</v>
      </c>
      <c r="B37" s="18">
        <f ca="1">I34</f>
        <v>2055285.7142857146</v>
      </c>
      <c r="E37" s="19" t="s">
        <v>52</v>
      </c>
      <c r="I37" s="14">
        <f ca="1">B37-I30</f>
        <v>503000</v>
      </c>
    </row>
    <row r="38" spans="1:11" ht="20" thickBot="1" x14ac:dyDescent="0.3">
      <c r="A38" s="9" t="s">
        <v>84</v>
      </c>
      <c r="B38" s="41">
        <v>0</v>
      </c>
      <c r="I38" s="20">
        <f>B38</f>
        <v>0</v>
      </c>
    </row>
    <row r="39" spans="1:11" x14ac:dyDescent="0.25">
      <c r="A39" s="9" t="s">
        <v>17</v>
      </c>
      <c r="B39" s="18">
        <f ca="1">B37-B38</f>
        <v>2055285.7142857146</v>
      </c>
      <c r="H39" s="14"/>
      <c r="I39" s="14">
        <f ca="1">I37-I38</f>
        <v>503000</v>
      </c>
    </row>
    <row r="41" spans="1:11" x14ac:dyDescent="0.25">
      <c r="A41" s="9" t="s">
        <v>19</v>
      </c>
      <c r="B41" s="21">
        <f>F34/$B$2</f>
        <v>41732.142857142855</v>
      </c>
      <c r="C41" s="19" t="s">
        <v>50</v>
      </c>
      <c r="D41" s="22"/>
      <c r="F41" s="22"/>
      <c r="G41" s="22"/>
      <c r="H41" s="15">
        <f>(F34-F30)/B2</f>
        <v>8017.8571428571431</v>
      </c>
    </row>
    <row r="43" spans="1:11" x14ac:dyDescent="0.25">
      <c r="A43" s="9" t="s">
        <v>20</v>
      </c>
      <c r="B43" s="21">
        <f ca="1">B39/B2</f>
        <v>14680.61224489796</v>
      </c>
      <c r="C43" s="15"/>
      <c r="I43" s="15">
        <f ca="1">I39/$B$2</f>
        <v>3592.8571428571427</v>
      </c>
    </row>
    <row r="45" spans="1:11" ht="22" customHeight="1" x14ac:dyDescent="0.25">
      <c r="A45" s="9" t="s">
        <v>27</v>
      </c>
      <c r="B45" s="21">
        <f>H34/$B$2</f>
        <v>700.91836734693879</v>
      </c>
      <c r="C45" s="24" t="s">
        <v>83</v>
      </c>
      <c r="D45" s="14">
        <f>B45/12</f>
        <v>58.40986394557823</v>
      </c>
      <c r="H45" s="14">
        <f>H34-H30</f>
        <v>30700</v>
      </c>
      <c r="I45" s="15">
        <f>(H34-H30)/$B$2</f>
        <v>219.28571428571428</v>
      </c>
      <c r="J45" s="23" t="s">
        <v>83</v>
      </c>
      <c r="K45" s="18">
        <f>I45/12</f>
        <v>18.273809523809522</v>
      </c>
    </row>
    <row r="48" spans="1:11" x14ac:dyDescent="0.25">
      <c r="A48" s="9" t="s">
        <v>53</v>
      </c>
      <c r="B48" s="9" t="s">
        <v>54</v>
      </c>
      <c r="D48" s="14">
        <v>1000</v>
      </c>
      <c r="E48" s="19" t="s">
        <v>60</v>
      </c>
      <c r="H48" s="15">
        <f>D48*$B$2</f>
        <v>140000</v>
      </c>
    </row>
    <row r="49" spans="2:9" x14ac:dyDescent="0.25">
      <c r="B49" s="9" t="s">
        <v>55</v>
      </c>
      <c r="D49" s="15">
        <f>D48/10</f>
        <v>100</v>
      </c>
      <c r="E49" s="19" t="s">
        <v>61</v>
      </c>
      <c r="H49" s="15">
        <f>D49*10*$B$2</f>
        <v>140000</v>
      </c>
    </row>
    <row r="50" spans="2:9" ht="20" x14ac:dyDescent="0.25">
      <c r="B50" s="9" t="s">
        <v>56</v>
      </c>
      <c r="D50" s="10" t="s">
        <v>57</v>
      </c>
      <c r="E50" s="19" t="s">
        <v>85</v>
      </c>
      <c r="H50" s="15">
        <f>10*$B$2*6</f>
        <v>8400</v>
      </c>
      <c r="I50" s="10" t="s">
        <v>86</v>
      </c>
    </row>
    <row r="51" spans="2:9" ht="20" x14ac:dyDescent="0.25">
      <c r="B51" s="9" t="s">
        <v>58</v>
      </c>
      <c r="D51" s="10" t="s">
        <v>59</v>
      </c>
      <c r="E51" s="19" t="s">
        <v>85</v>
      </c>
    </row>
  </sheetData>
  <printOptions horizontalCentered="1"/>
  <pageMargins left="0.45" right="0.45" top="1" bottom="0.5" header="0.3" footer="0.3"/>
  <pageSetup scale="53" orientation="portrait" horizontalDpi="0" verticalDpi="0" copies="5"/>
  <headerFooter>
    <oddHeader>&amp;A</oddHeader>
    <oddFooter>&amp;L&amp;B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7C06-FDDC-AF4C-980A-0FA0F61642BA}">
  <sheetPr>
    <pageSetUpPr fitToPage="1"/>
  </sheetPr>
  <dimension ref="A1:K22"/>
  <sheetViews>
    <sheetView tabSelected="1" zoomScale="160" workbookViewId="0">
      <selection activeCell="A5" sqref="A5"/>
    </sheetView>
  </sheetViews>
  <sheetFormatPr baseColWidth="10" defaultRowHeight="16" x14ac:dyDescent="0.2"/>
  <cols>
    <col min="1" max="1" width="22" customWidth="1"/>
    <col min="2" max="2" width="10.83203125" style="5"/>
    <col min="3" max="5" width="10.83203125" style="3"/>
    <col min="6" max="6" width="7" customWidth="1"/>
    <col min="7" max="7" width="8.6640625" customWidth="1"/>
    <col min="8" max="8" width="9.33203125" customWidth="1"/>
    <col min="9" max="9" width="12.5" bestFit="1" customWidth="1"/>
    <col min="11" max="11" width="11.5" bestFit="1" customWidth="1"/>
  </cols>
  <sheetData>
    <row r="1" spans="1:11" x14ac:dyDescent="0.2">
      <c r="A1" s="3" t="s">
        <v>28</v>
      </c>
      <c r="B1" s="4" t="s">
        <v>29</v>
      </c>
      <c r="C1" s="3" t="s">
        <v>32</v>
      </c>
      <c r="D1" s="3" t="s">
        <v>30</v>
      </c>
      <c r="E1" s="3" t="s">
        <v>31</v>
      </c>
      <c r="F1" s="3" t="s">
        <v>38</v>
      </c>
      <c r="G1" s="3" t="s">
        <v>39</v>
      </c>
      <c r="H1" s="3" t="s">
        <v>47</v>
      </c>
      <c r="I1" s="3" t="s">
        <v>42</v>
      </c>
      <c r="J1" s="3" t="s">
        <v>43</v>
      </c>
      <c r="K1" s="3" t="s">
        <v>44</v>
      </c>
    </row>
    <row r="2" spans="1:11" ht="17" thickBot="1" x14ac:dyDescent="0.25"/>
    <row r="3" spans="1:11" x14ac:dyDescent="0.2">
      <c r="A3" s="29" t="s">
        <v>69</v>
      </c>
      <c r="B3" s="30">
        <v>1300</v>
      </c>
      <c r="C3" s="31">
        <v>4</v>
      </c>
      <c r="D3" s="31" t="s">
        <v>34</v>
      </c>
      <c r="E3" s="32">
        <v>1977</v>
      </c>
      <c r="F3">
        <f ca="1">'Overall Reserves'!$C$1-'Water Main Analysis'!E3</f>
        <v>44</v>
      </c>
      <c r="G3" s="6">
        <f ca="1">$B$20-F3</f>
        <v>26</v>
      </c>
      <c r="H3" s="6">
        <f ca="1">B3*F3</f>
        <v>57200</v>
      </c>
      <c r="I3" s="2">
        <f>B3*$B$22</f>
        <v>260000</v>
      </c>
      <c r="J3" s="2">
        <f>I3/$B$20</f>
        <v>3714.2857142857142</v>
      </c>
      <c r="K3" s="6">
        <f ca="1">F3*J3</f>
        <v>163428.57142857142</v>
      </c>
    </row>
    <row r="4" spans="1:11" x14ac:dyDescent="0.2">
      <c r="A4" s="33" t="s">
        <v>70</v>
      </c>
      <c r="B4" s="34">
        <v>2100</v>
      </c>
      <c r="C4" s="35">
        <v>6</v>
      </c>
      <c r="D4" s="35" t="s">
        <v>33</v>
      </c>
      <c r="E4" s="36">
        <v>1991</v>
      </c>
      <c r="F4">
        <f ca="1">'Overall Reserves'!$C$1-'Water Main Analysis'!E4</f>
        <v>30</v>
      </c>
      <c r="G4" s="6">
        <f t="shared" ref="G4:G16" ca="1" si="0">$B$20-F4</f>
        <v>40</v>
      </c>
      <c r="H4" s="6">
        <f t="shared" ref="H4:H16" ca="1" si="1">B4*F4</f>
        <v>63000</v>
      </c>
      <c r="I4" s="2">
        <f t="shared" ref="I4:I16" si="2">B4*$B$22</f>
        <v>420000</v>
      </c>
      <c r="J4" s="2">
        <f t="shared" ref="J4:J16" si="3">I4/$B$20</f>
        <v>6000</v>
      </c>
      <c r="K4" s="6">
        <f t="shared" ref="K4:K16" ca="1" si="4">F4*J4</f>
        <v>180000</v>
      </c>
    </row>
    <row r="5" spans="1:11" x14ac:dyDescent="0.2">
      <c r="A5" s="33" t="s">
        <v>71</v>
      </c>
      <c r="B5" s="34">
        <v>800</v>
      </c>
      <c r="C5" s="35">
        <v>6</v>
      </c>
      <c r="D5" s="35" t="s">
        <v>34</v>
      </c>
      <c r="E5" s="36">
        <v>1992</v>
      </c>
      <c r="F5">
        <f ca="1">'Overall Reserves'!$C$1-'Water Main Analysis'!E5</f>
        <v>29</v>
      </c>
      <c r="G5" s="6">
        <f t="shared" ca="1" si="0"/>
        <v>41</v>
      </c>
      <c r="H5" s="6">
        <f t="shared" ca="1" si="1"/>
        <v>23200</v>
      </c>
      <c r="I5" s="2">
        <f t="shared" si="2"/>
        <v>160000</v>
      </c>
      <c r="J5" s="2">
        <f t="shared" si="3"/>
        <v>2285.7142857142858</v>
      </c>
      <c r="K5" s="6">
        <f t="shared" ca="1" si="4"/>
        <v>66285.71428571429</v>
      </c>
    </row>
    <row r="6" spans="1:11" x14ac:dyDescent="0.2">
      <c r="A6" s="33" t="s">
        <v>72</v>
      </c>
      <c r="B6" s="34">
        <v>6300</v>
      </c>
      <c r="C6" s="35">
        <v>6</v>
      </c>
      <c r="D6" s="35" t="s">
        <v>34</v>
      </c>
      <c r="E6" s="36">
        <v>1998</v>
      </c>
      <c r="F6">
        <f ca="1">'Overall Reserves'!$C$1-'Water Main Analysis'!E6</f>
        <v>23</v>
      </c>
      <c r="G6" s="6">
        <f t="shared" ca="1" si="0"/>
        <v>47</v>
      </c>
      <c r="H6" s="6">
        <f t="shared" ca="1" si="1"/>
        <v>144900</v>
      </c>
      <c r="I6" s="2">
        <f t="shared" si="2"/>
        <v>1260000</v>
      </c>
      <c r="J6" s="2">
        <f t="shared" si="3"/>
        <v>18000</v>
      </c>
      <c r="K6" s="6">
        <f t="shared" ca="1" si="4"/>
        <v>414000</v>
      </c>
    </row>
    <row r="7" spans="1:11" x14ac:dyDescent="0.2">
      <c r="A7" s="33" t="s">
        <v>73</v>
      </c>
      <c r="B7" s="34">
        <v>1900</v>
      </c>
      <c r="C7" s="35">
        <v>6</v>
      </c>
      <c r="D7" s="35" t="s">
        <v>34</v>
      </c>
      <c r="E7" s="36">
        <v>1998</v>
      </c>
      <c r="F7">
        <f ca="1">'Overall Reserves'!$C$1-'Water Main Analysis'!E7</f>
        <v>23</v>
      </c>
      <c r="G7" s="6">
        <f t="shared" ca="1" si="0"/>
        <v>47</v>
      </c>
      <c r="H7" s="6">
        <f t="shared" ca="1" si="1"/>
        <v>43700</v>
      </c>
      <c r="I7" s="2">
        <f t="shared" si="2"/>
        <v>380000</v>
      </c>
      <c r="J7" s="2">
        <f t="shared" si="3"/>
        <v>5428.5714285714284</v>
      </c>
      <c r="K7" s="6">
        <f t="shared" ca="1" si="4"/>
        <v>124857.14285714286</v>
      </c>
    </row>
    <row r="8" spans="1:11" x14ac:dyDescent="0.2">
      <c r="A8" s="33" t="s">
        <v>74</v>
      </c>
      <c r="B8" s="34">
        <v>800</v>
      </c>
      <c r="C8" s="35">
        <v>4</v>
      </c>
      <c r="D8" s="35" t="s">
        <v>34</v>
      </c>
      <c r="E8" s="36">
        <v>1998</v>
      </c>
      <c r="F8">
        <f ca="1">'Overall Reserves'!$C$1-'Water Main Analysis'!E8</f>
        <v>23</v>
      </c>
      <c r="G8" s="6">
        <f t="shared" ca="1" si="0"/>
        <v>47</v>
      </c>
      <c r="H8" s="6">
        <f t="shared" ca="1" si="1"/>
        <v>18400</v>
      </c>
      <c r="I8" s="2">
        <f t="shared" si="2"/>
        <v>160000</v>
      </c>
      <c r="J8" s="2">
        <f t="shared" si="3"/>
        <v>2285.7142857142858</v>
      </c>
      <c r="K8" s="6">
        <f t="shared" ca="1" si="4"/>
        <v>52571.428571428572</v>
      </c>
    </row>
    <row r="9" spans="1:11" x14ac:dyDescent="0.2">
      <c r="A9" s="33" t="s">
        <v>75</v>
      </c>
      <c r="B9" s="34">
        <v>2900</v>
      </c>
      <c r="C9" s="35">
        <v>6</v>
      </c>
      <c r="D9" s="35" t="s">
        <v>35</v>
      </c>
      <c r="E9" s="36">
        <v>1998</v>
      </c>
      <c r="F9">
        <f ca="1">'Overall Reserves'!$C$1-'Water Main Analysis'!E9</f>
        <v>23</v>
      </c>
      <c r="G9" s="6">
        <f t="shared" ca="1" si="0"/>
        <v>47</v>
      </c>
      <c r="H9" s="6">
        <f t="shared" ca="1" si="1"/>
        <v>66700</v>
      </c>
      <c r="I9" s="2">
        <f t="shared" si="2"/>
        <v>580000</v>
      </c>
      <c r="J9" s="2">
        <f t="shared" si="3"/>
        <v>8285.7142857142862</v>
      </c>
      <c r="K9" s="6">
        <f t="shared" ca="1" si="4"/>
        <v>190571.42857142858</v>
      </c>
    </row>
    <row r="10" spans="1:11" x14ac:dyDescent="0.2">
      <c r="A10" s="33" t="s">
        <v>76</v>
      </c>
      <c r="B10" s="34">
        <v>800</v>
      </c>
      <c r="C10" s="35">
        <v>6</v>
      </c>
      <c r="D10" s="35" t="s">
        <v>34</v>
      </c>
      <c r="E10" s="36">
        <v>1998</v>
      </c>
      <c r="F10">
        <f ca="1">'Overall Reserves'!$C$1-'Water Main Analysis'!E10</f>
        <v>23</v>
      </c>
      <c r="G10" s="6">
        <f t="shared" ca="1" si="0"/>
        <v>47</v>
      </c>
      <c r="H10" s="6">
        <f t="shared" ca="1" si="1"/>
        <v>18400</v>
      </c>
      <c r="I10" s="2">
        <f t="shared" si="2"/>
        <v>160000</v>
      </c>
      <c r="J10" s="2">
        <f t="shared" si="3"/>
        <v>2285.7142857142858</v>
      </c>
      <c r="K10" s="6">
        <f t="shared" ca="1" si="4"/>
        <v>52571.428571428572</v>
      </c>
    </row>
    <row r="11" spans="1:11" x14ac:dyDescent="0.2">
      <c r="A11" s="33" t="s">
        <v>77</v>
      </c>
      <c r="B11" s="34">
        <v>350</v>
      </c>
      <c r="C11" s="35">
        <v>6</v>
      </c>
      <c r="D11" s="35" t="s">
        <v>36</v>
      </c>
      <c r="E11" s="36">
        <v>1998</v>
      </c>
      <c r="F11">
        <f ca="1">'Overall Reserves'!$C$1-'Water Main Analysis'!E11</f>
        <v>23</v>
      </c>
      <c r="G11" s="6">
        <f t="shared" ca="1" si="0"/>
        <v>47</v>
      </c>
      <c r="H11" s="6">
        <f t="shared" ca="1" si="1"/>
        <v>8050</v>
      </c>
      <c r="I11" s="2">
        <f t="shared" si="2"/>
        <v>70000</v>
      </c>
      <c r="J11" s="2">
        <f t="shared" si="3"/>
        <v>1000</v>
      </c>
      <c r="K11" s="6">
        <f t="shared" ca="1" si="4"/>
        <v>23000</v>
      </c>
    </row>
    <row r="12" spans="1:11" x14ac:dyDescent="0.2">
      <c r="A12" s="33" t="s">
        <v>78</v>
      </c>
      <c r="B12" s="34">
        <v>1650</v>
      </c>
      <c r="C12" s="35">
        <v>6</v>
      </c>
      <c r="D12" s="35" t="s">
        <v>33</v>
      </c>
      <c r="E12" s="36">
        <v>2002</v>
      </c>
      <c r="F12">
        <f ca="1">'Overall Reserves'!$C$1-'Water Main Analysis'!E12</f>
        <v>19</v>
      </c>
      <c r="G12" s="6">
        <f t="shared" ca="1" si="0"/>
        <v>51</v>
      </c>
      <c r="H12" s="6">
        <f t="shared" ca="1" si="1"/>
        <v>31350</v>
      </c>
      <c r="I12" s="2">
        <f t="shared" si="2"/>
        <v>330000</v>
      </c>
      <c r="J12" s="2">
        <f t="shared" si="3"/>
        <v>4714.2857142857147</v>
      </c>
      <c r="K12" s="6">
        <f t="shared" ca="1" si="4"/>
        <v>89571.42857142858</v>
      </c>
    </row>
    <row r="13" spans="1:11" x14ac:dyDescent="0.2">
      <c r="A13" s="33" t="s">
        <v>79</v>
      </c>
      <c r="B13" s="34">
        <v>1250</v>
      </c>
      <c r="C13" s="35">
        <v>6</v>
      </c>
      <c r="D13" s="35" t="s">
        <v>33</v>
      </c>
      <c r="E13" s="36">
        <v>2002</v>
      </c>
      <c r="F13">
        <f ca="1">'Overall Reserves'!$C$1-'Water Main Analysis'!E13</f>
        <v>19</v>
      </c>
      <c r="G13" s="6">
        <f t="shared" ca="1" si="0"/>
        <v>51</v>
      </c>
      <c r="H13" s="6">
        <f t="shared" ca="1" si="1"/>
        <v>23750</v>
      </c>
      <c r="I13" s="2">
        <f t="shared" si="2"/>
        <v>250000</v>
      </c>
      <c r="J13" s="2">
        <f t="shared" si="3"/>
        <v>3571.4285714285716</v>
      </c>
      <c r="K13" s="6">
        <f t="shared" ca="1" si="4"/>
        <v>67857.142857142855</v>
      </c>
    </row>
    <row r="14" spans="1:11" x14ac:dyDescent="0.2">
      <c r="A14" s="33" t="s">
        <v>80</v>
      </c>
      <c r="B14" s="34">
        <v>2100</v>
      </c>
      <c r="C14" s="35">
        <v>6</v>
      </c>
      <c r="D14" s="35" t="s">
        <v>33</v>
      </c>
      <c r="E14" s="36">
        <v>2006</v>
      </c>
      <c r="F14">
        <f ca="1">'Overall Reserves'!$C$1-'Water Main Analysis'!E14</f>
        <v>15</v>
      </c>
      <c r="G14" s="6">
        <f t="shared" ca="1" si="0"/>
        <v>55</v>
      </c>
      <c r="H14" s="6">
        <f t="shared" ca="1" si="1"/>
        <v>31500</v>
      </c>
      <c r="I14" s="2">
        <f t="shared" si="2"/>
        <v>420000</v>
      </c>
      <c r="J14" s="2">
        <f t="shared" si="3"/>
        <v>6000</v>
      </c>
      <c r="K14" s="6">
        <f t="shared" ca="1" si="4"/>
        <v>90000</v>
      </c>
    </row>
    <row r="15" spans="1:11" x14ac:dyDescent="0.2">
      <c r="A15" s="33" t="s">
        <v>81</v>
      </c>
      <c r="B15" s="34">
        <v>1000</v>
      </c>
      <c r="C15" s="35">
        <v>6</v>
      </c>
      <c r="D15" s="35" t="s">
        <v>34</v>
      </c>
      <c r="E15" s="36">
        <v>2011</v>
      </c>
      <c r="F15">
        <f ca="1">'Overall Reserves'!$C$1-'Water Main Analysis'!E15</f>
        <v>10</v>
      </c>
      <c r="G15" s="6">
        <f t="shared" ca="1" si="0"/>
        <v>60</v>
      </c>
      <c r="H15" s="6">
        <f t="shared" ca="1" si="1"/>
        <v>10000</v>
      </c>
      <c r="I15" s="2">
        <f t="shared" si="2"/>
        <v>200000</v>
      </c>
      <c r="J15" s="2">
        <f t="shared" si="3"/>
        <v>2857.1428571428573</v>
      </c>
      <c r="K15" s="6">
        <f t="shared" ca="1" si="4"/>
        <v>28571.428571428572</v>
      </c>
    </row>
    <row r="16" spans="1:11" ht="17" thickBot="1" x14ac:dyDescent="0.25">
      <c r="A16" s="37" t="s">
        <v>82</v>
      </c>
      <c r="B16" s="38">
        <v>350</v>
      </c>
      <c r="C16" s="39">
        <v>6</v>
      </c>
      <c r="D16" s="39" t="s">
        <v>33</v>
      </c>
      <c r="E16" s="40">
        <v>2012</v>
      </c>
      <c r="F16">
        <f ca="1">'Overall Reserves'!$C$1-'Water Main Analysis'!E16</f>
        <v>9</v>
      </c>
      <c r="G16" s="6">
        <f t="shared" ca="1" si="0"/>
        <v>61</v>
      </c>
      <c r="H16" s="6">
        <f t="shared" ca="1" si="1"/>
        <v>3150</v>
      </c>
      <c r="I16" s="2">
        <f t="shared" si="2"/>
        <v>70000</v>
      </c>
      <c r="J16" s="2">
        <f t="shared" si="3"/>
        <v>1000</v>
      </c>
      <c r="K16" s="6">
        <f t="shared" ca="1" si="4"/>
        <v>9000</v>
      </c>
    </row>
    <row r="18" spans="1:11" x14ac:dyDescent="0.2">
      <c r="A18" t="s">
        <v>37</v>
      </c>
      <c r="B18" s="5">
        <f>SUM(B3:B17)</f>
        <v>23600</v>
      </c>
      <c r="C18" s="8">
        <f>B18/5280</f>
        <v>4.4696969696969697</v>
      </c>
      <c r="D18" s="3" t="s">
        <v>51</v>
      </c>
      <c r="G18" s="7" t="s">
        <v>48</v>
      </c>
      <c r="H18" s="6">
        <f ca="1">SUM(H3:H16)/23600</f>
        <v>23.021186440677965</v>
      </c>
      <c r="I18" s="1">
        <f>SUM(I3:I16)</f>
        <v>4720000</v>
      </c>
      <c r="J18" s="1">
        <f>SUM(J3:J16)</f>
        <v>67428.571428571435</v>
      </c>
      <c r="K18" s="1">
        <f ca="1">SUM(K3:K16)</f>
        <v>1552285.7142857146</v>
      </c>
    </row>
    <row r="19" spans="1:11" ht="17" thickBot="1" x14ac:dyDescent="0.25">
      <c r="G19" s="7" t="s">
        <v>49</v>
      </c>
      <c r="H19" s="6">
        <f ca="1">B20-H18</f>
        <v>46.978813559322035</v>
      </c>
    </row>
    <row r="20" spans="1:11" ht="17" thickBot="1" x14ac:dyDescent="0.25">
      <c r="A20" t="s">
        <v>40</v>
      </c>
      <c r="B20" s="27">
        <v>70</v>
      </c>
    </row>
    <row r="21" spans="1:11" ht="17" thickBot="1" x14ac:dyDescent="0.25"/>
    <row r="22" spans="1:11" ht="17" thickBot="1" x14ac:dyDescent="0.25">
      <c r="A22" t="s">
        <v>41</v>
      </c>
      <c r="B22" s="28">
        <v>200</v>
      </c>
    </row>
  </sheetData>
  <sortState xmlns:xlrd2="http://schemas.microsoft.com/office/spreadsheetml/2017/richdata2" ref="A3:E16">
    <sortCondition ref="E3:E16"/>
  </sortState>
  <phoneticPr fontId="4" type="noConversion"/>
  <pageMargins left="0.7" right="0.7" top="0.75" bottom="0.75" header="0.3" footer="0.3"/>
  <pageSetup scale="92" orientation="landscape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Reserves</vt:lpstr>
      <vt:lpstr>Water Main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2021-07-16T01:47:19Z</cp:lastPrinted>
  <dcterms:created xsi:type="dcterms:W3CDTF">2021-03-21T21:05:44Z</dcterms:created>
  <dcterms:modified xsi:type="dcterms:W3CDTF">2021-09-12T16:57:38Z</dcterms:modified>
</cp:coreProperties>
</file>